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reenwoodns-my.sharepoint.com/personal/villageoffice_greenwoodns_ca/Documents/Desktop/DECEMBER 2022/Expenditures/"/>
    </mc:Choice>
  </mc:AlternateContent>
  <xr:revisionPtr revIDLastSave="0" documentId="8_{C62A798D-6F3B-4320-AAE1-A2E23F160DC7}" xr6:coauthVersionLast="47" xr6:coauthVersionMax="47" xr10:uidLastSave="{00000000-0000-0000-0000-000000000000}"/>
  <bookViews>
    <workbookView xWindow="0" yWindow="45" windowWidth="18900" windowHeight="13995" activeTab="4" xr2:uid="{00000000-000D-0000-FFFF-FFFF00000000}"/>
  </bookViews>
  <sheets>
    <sheet name="Summary Schedule" sheetId="11" r:id="rId1"/>
    <sheet name="Quarter 1" sheetId="10" r:id="rId2"/>
    <sheet name="Quarter 2" sheetId="12" r:id="rId3"/>
    <sheet name="Quarter 3" sheetId="16" r:id="rId4"/>
    <sheet name="Quarter 4" sheetId="15" r:id="rId5"/>
    <sheet name="Sheet1" sheetId="1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0" i="16" l="1"/>
  <c r="C20" i="16"/>
  <c r="E20" i="16"/>
  <c r="F20" i="16"/>
  <c r="G20" i="16"/>
  <c r="H20" i="16"/>
  <c r="I20" i="16"/>
  <c r="D13" i="11"/>
  <c r="D12" i="11"/>
  <c r="D11" i="11"/>
  <c r="D9" i="11"/>
  <c r="D10" i="11"/>
  <c r="D15" i="10"/>
  <c r="D16" i="16"/>
  <c r="I18" i="15"/>
  <c r="H16" i="11" l="1"/>
  <c r="G16" i="11"/>
  <c r="F16" i="11"/>
  <c r="E16" i="11"/>
  <c r="D16" i="11"/>
  <c r="H13" i="11"/>
  <c r="H12" i="11"/>
  <c r="H11" i="11"/>
  <c r="H10" i="11"/>
  <c r="H9" i="11"/>
  <c r="G13" i="11"/>
  <c r="G12" i="11"/>
  <c r="G11" i="11"/>
  <c r="G10" i="11"/>
  <c r="G9" i="11"/>
  <c r="F13" i="11"/>
  <c r="F12" i="11"/>
  <c r="F11" i="11"/>
  <c r="F10" i="11"/>
  <c r="F9" i="11"/>
  <c r="E13" i="11"/>
  <c r="E12" i="11"/>
  <c r="E11" i="11"/>
  <c r="E10" i="11"/>
  <c r="E9" i="11"/>
  <c r="I12" i="15"/>
  <c r="J12" i="15" s="1"/>
  <c r="I12" i="16"/>
  <c r="J12" i="16" s="1"/>
  <c r="I13" i="11" l="1"/>
  <c r="J13" i="11" s="1"/>
  <c r="I24" i="10"/>
  <c r="I23" i="10"/>
  <c r="I13" i="10"/>
  <c r="I18" i="16" l="1"/>
  <c r="J18" i="16" s="1"/>
  <c r="H16" i="16"/>
  <c r="G16" i="16"/>
  <c r="F16" i="16"/>
  <c r="E16" i="16"/>
  <c r="D25" i="16"/>
  <c r="I13" i="16"/>
  <c r="J13" i="16" s="1"/>
  <c r="I11" i="16"/>
  <c r="J11" i="16" s="1"/>
  <c r="I10" i="16"/>
  <c r="J10" i="16" s="1"/>
  <c r="I9" i="16"/>
  <c r="J9" i="16" s="1"/>
  <c r="I20" i="15"/>
  <c r="J20" i="15" s="1"/>
  <c r="H16" i="15"/>
  <c r="H21" i="15" s="1"/>
  <c r="G16" i="15"/>
  <c r="G21" i="15" s="1"/>
  <c r="F16" i="15"/>
  <c r="F21" i="15" s="1"/>
  <c r="E16" i="15"/>
  <c r="E21" i="15" s="1"/>
  <c r="D16" i="15"/>
  <c r="I13" i="15"/>
  <c r="J13" i="15" s="1"/>
  <c r="I11" i="15"/>
  <c r="J11" i="15" s="1"/>
  <c r="I10" i="15"/>
  <c r="J10" i="15" s="1"/>
  <c r="I9" i="15"/>
  <c r="J9" i="15" s="1"/>
  <c r="I17" i="12"/>
  <c r="J17" i="12" s="1"/>
  <c r="H15" i="12"/>
  <c r="H18" i="12" s="1"/>
  <c r="G15" i="12"/>
  <c r="G18" i="12" s="1"/>
  <c r="F15" i="12"/>
  <c r="F18" i="12" s="1"/>
  <c r="E15" i="12"/>
  <c r="E18" i="12" s="1"/>
  <c r="D15" i="12"/>
  <c r="D18" i="12" s="1"/>
  <c r="I13" i="12"/>
  <c r="J13" i="12" s="1"/>
  <c r="I12" i="12"/>
  <c r="J12" i="12" s="1"/>
  <c r="I11" i="12"/>
  <c r="J11" i="12" s="1"/>
  <c r="I10" i="12"/>
  <c r="J10" i="12" s="1"/>
  <c r="I9" i="12"/>
  <c r="J9" i="12" s="1"/>
  <c r="I16" i="11"/>
  <c r="I17" i="10"/>
  <c r="J17" i="10" s="1"/>
  <c r="H15" i="10"/>
  <c r="H18" i="10" s="1"/>
  <c r="G15" i="10"/>
  <c r="G18" i="10" s="1"/>
  <c r="G21" i="12" s="1"/>
  <c r="F15" i="10"/>
  <c r="F18" i="10" s="1"/>
  <c r="F21" i="12" s="1"/>
  <c r="E15" i="10"/>
  <c r="E18" i="10" s="1"/>
  <c r="E21" i="12" s="1"/>
  <c r="D18" i="10"/>
  <c r="D21" i="12" s="1"/>
  <c r="J13" i="10"/>
  <c r="I12" i="10"/>
  <c r="J12" i="10" s="1"/>
  <c r="I11" i="10"/>
  <c r="J11" i="10" s="1"/>
  <c r="I10" i="10"/>
  <c r="J10" i="10" s="1"/>
  <c r="I9" i="10"/>
  <c r="J16" i="11" l="1"/>
  <c r="J16" i="15"/>
  <c r="J21" i="15" s="1"/>
  <c r="H21" i="12"/>
  <c r="H23" i="12" s="1"/>
  <c r="H23" i="16" s="1"/>
  <c r="H25" i="16" s="1"/>
  <c r="H24" i="15" s="1"/>
  <c r="H26" i="15" s="1"/>
  <c r="G23" i="12"/>
  <c r="G23" i="16" s="1"/>
  <c r="J9" i="10"/>
  <c r="F23" i="12"/>
  <c r="F23" i="16" s="1"/>
  <c r="E23" i="12"/>
  <c r="E23" i="16" s="1"/>
  <c r="D23" i="12"/>
  <c r="D23" i="16" s="1"/>
  <c r="D24" i="15" s="1"/>
  <c r="D26" i="15" s="1"/>
  <c r="G14" i="11"/>
  <c r="G17" i="11" s="1"/>
  <c r="G28" i="15" s="1"/>
  <c r="H14" i="11"/>
  <c r="H17" i="11" s="1"/>
  <c r="H28" i="15" s="1"/>
  <c r="I18" i="10"/>
  <c r="I21" i="12" s="1"/>
  <c r="J21" i="12" s="1"/>
  <c r="I16" i="16"/>
  <c r="J16" i="16" s="1"/>
  <c r="I11" i="11"/>
  <c r="J11" i="11" s="1"/>
  <c r="I10" i="11"/>
  <c r="J10" i="11" s="1"/>
  <c r="E14" i="11"/>
  <c r="E17" i="11" s="1"/>
  <c r="E28" i="15" s="1"/>
  <c r="I12" i="11"/>
  <c r="J12" i="11" s="1"/>
  <c r="F14" i="11"/>
  <c r="F17" i="11" s="1"/>
  <c r="F28" i="15" s="1"/>
  <c r="I9" i="11"/>
  <c r="D14" i="11"/>
  <c r="D17" i="11" s="1"/>
  <c r="D28" i="15" s="1"/>
  <c r="I21" i="15"/>
  <c r="I16" i="15"/>
  <c r="I18" i="12"/>
  <c r="I15" i="12"/>
  <c r="J15" i="12" s="1"/>
  <c r="I15" i="10"/>
  <c r="J15" i="10" s="1"/>
  <c r="J18" i="10" l="1"/>
  <c r="I23" i="12" s="1"/>
  <c r="J9" i="11"/>
  <c r="J14" i="11" s="1"/>
  <c r="J17" i="11" s="1"/>
  <c r="I14" i="11"/>
  <c r="E25" i="16"/>
  <c r="E24" i="15" s="1"/>
  <c r="E26" i="15" s="1"/>
  <c r="F25" i="16"/>
  <c r="F24" i="15" s="1"/>
  <c r="F26" i="15" s="1"/>
  <c r="G25" i="16"/>
  <c r="G24" i="15" s="1"/>
  <c r="G26" i="15" s="1"/>
  <c r="J18" i="12"/>
  <c r="I17" i="11"/>
  <c r="I23" i="16" l="1"/>
  <c r="I25" i="16" s="1"/>
  <c r="J28" i="15"/>
  <c r="I28" i="15"/>
  <c r="J23" i="12"/>
  <c r="J23" i="16" s="1"/>
  <c r="J25" i="16" s="1"/>
  <c r="J24" i="15" s="1"/>
  <c r="J26" i="15" s="1"/>
  <c r="I24" i="15" l="1"/>
  <c r="I26" i="15" s="1"/>
</calcChain>
</file>

<file path=xl/sharedStrings.xml><?xml version="1.0" encoding="utf-8"?>
<sst xmlns="http://schemas.openxmlformats.org/spreadsheetml/2006/main" count="184" uniqueCount="47">
  <si>
    <t>Title</t>
  </si>
  <si>
    <t xml:space="preserve"> </t>
  </si>
  <si>
    <t>Total</t>
  </si>
  <si>
    <t>Remuneration</t>
  </si>
  <si>
    <t>Travel Related Expenses</t>
  </si>
  <si>
    <t>Meals</t>
  </si>
  <si>
    <t>Professional Development and Training</t>
  </si>
  <si>
    <t>Other Expenses</t>
  </si>
  <si>
    <t>Total Expenses</t>
  </si>
  <si>
    <t>Staff:</t>
  </si>
  <si>
    <t>Total Remuneration and Expenses</t>
  </si>
  <si>
    <t>Village Clerk</t>
  </si>
  <si>
    <t>Chair</t>
  </si>
  <si>
    <t>Commissioner</t>
  </si>
  <si>
    <t>Remuneration and Expenses for Village Commission /Clerk Summary Schedule</t>
  </si>
  <si>
    <t>Village Commission/ Clerk  Name</t>
  </si>
  <si>
    <t>Prior Quarters</t>
  </si>
  <si>
    <t>Total to Date</t>
  </si>
  <si>
    <t>Remuneration and Expenses for Village Commission /Clerk  Schedule</t>
  </si>
  <si>
    <t>Remuneration and Expenses for Village Commission /Clerk Schedule</t>
  </si>
  <si>
    <t>Brian Banks</t>
  </si>
  <si>
    <t>Robert Sealby</t>
  </si>
  <si>
    <t>Bob Baker</t>
  </si>
  <si>
    <t>Darrell Spinney</t>
  </si>
  <si>
    <t>Vice Chair</t>
  </si>
  <si>
    <t>April May June</t>
  </si>
  <si>
    <t>July August September</t>
  </si>
  <si>
    <t>October November December</t>
  </si>
  <si>
    <t>January February March</t>
  </si>
  <si>
    <t>Other Expenses- Hotels</t>
  </si>
  <si>
    <t>Other Expenses-Parking</t>
  </si>
  <si>
    <t>Lynn Moar</t>
  </si>
  <si>
    <t>Dale Harty</t>
  </si>
  <si>
    <t>Darrel Spinney</t>
  </si>
  <si>
    <t xml:space="preserve">Other Expenses-hotel </t>
  </si>
  <si>
    <t>Other Expenses-Hotel</t>
  </si>
  <si>
    <t>2022-23</t>
  </si>
  <si>
    <t>2022-2023</t>
  </si>
  <si>
    <t>PLEASE NOTE THAT THE VILLAGE OF GREENWOOD HAS NOT INCURRED ANY HOSPITALITY EXPENSES THIS QUARTER</t>
  </si>
  <si>
    <t>Kerry Graham</t>
  </si>
  <si>
    <t>Sum</t>
  </si>
  <si>
    <t>Average</t>
  </si>
  <si>
    <t>Running Total</t>
  </si>
  <si>
    <t>Count</t>
  </si>
  <si>
    <t>Column1</t>
  </si>
  <si>
    <t xml:space="preserve"> $14,725 </t>
  </si>
  <si>
    <t xml:space="preserve"> $7,389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</si>
</sst>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(&quot;$&quot;* #,##0_);_(&quot;$&quot;* \(#,##0\);_(&quot;$&quot;* &quot;-&quot;??_);_(@_)"/>
    <numFmt numFmtId="166" formatCode="_(* #,##0_);_(* \(#,##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Roboto Black"/>
    </font>
    <font>
      <b/>
      <sz val="11"/>
      <color theme="1"/>
      <name val="Calibri"/>
      <family val="2"/>
      <scheme val="minor"/>
    </font>
    <font>
      <b/>
      <sz val="11"/>
      <color theme="1"/>
      <name val="Trebuchet MS"/>
      <family val="2"/>
    </font>
    <font>
      <b/>
      <sz val="10"/>
      <color theme="1"/>
      <name val="Roboto"/>
    </font>
    <font>
      <b/>
      <sz val="10"/>
      <color theme="1"/>
      <name val="Roboto Condensed"/>
    </font>
    <font>
      <b/>
      <sz val="8"/>
      <color theme="1"/>
      <name val="Arial Narrow"/>
      <family val="2"/>
    </font>
    <font>
      <b/>
      <sz val="12"/>
      <color theme="1"/>
      <name val="Trebuchet MS"/>
      <family val="2"/>
    </font>
    <font>
      <sz val="11"/>
      <color theme="7"/>
      <name val="Arial Narrow"/>
      <family val="2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3" fillId="0" borderId="0" xfId="0" applyFont="1"/>
    <xf numFmtId="0" fontId="5" fillId="0" borderId="0" xfId="0" applyFont="1"/>
    <xf numFmtId="165" fontId="6" fillId="0" borderId="0" xfId="2" applyNumberFormat="1" applyFont="1"/>
    <xf numFmtId="165" fontId="6" fillId="0" borderId="0" xfId="2" applyNumberFormat="1" applyFont="1" applyFill="1"/>
    <xf numFmtId="166" fontId="6" fillId="0" borderId="0" xfId="1" applyNumberFormat="1" applyFont="1"/>
    <xf numFmtId="166" fontId="6" fillId="0" borderId="0" xfId="1" applyNumberFormat="1" applyFont="1" applyFill="1"/>
    <xf numFmtId="166" fontId="6" fillId="0" borderId="1" xfId="1" applyNumberFormat="1" applyFont="1" applyBorder="1"/>
    <xf numFmtId="166" fontId="6" fillId="0" borderId="1" xfId="1" applyNumberFormat="1" applyFont="1" applyFill="1" applyBorder="1"/>
    <xf numFmtId="0" fontId="6" fillId="0" borderId="0" xfId="0" applyFont="1"/>
    <xf numFmtId="165" fontId="6" fillId="2" borderId="2" xfId="0" applyNumberFormat="1" applyFont="1" applyFill="1" applyBorder="1"/>
    <xf numFmtId="0" fontId="7" fillId="0" borderId="0" xfId="0" applyFont="1"/>
    <xf numFmtId="0" fontId="8" fillId="0" borderId="0" xfId="0" applyFont="1"/>
    <xf numFmtId="0" fontId="4" fillId="0" borderId="0" xfId="0" applyFont="1"/>
    <xf numFmtId="0" fontId="9" fillId="3" borderId="0" xfId="0" applyFont="1" applyFill="1" applyAlignment="1">
      <alignment horizontal="center" vertical="center" wrapText="1"/>
    </xf>
    <xf numFmtId="0" fontId="9" fillId="3" borderId="0" xfId="0" applyFont="1" applyFill="1" applyAlignment="1">
      <alignment horizontal="center" vertical="center"/>
    </xf>
    <xf numFmtId="43" fontId="0" fillId="0" borderId="0" xfId="2" applyNumberFormat="1" applyFont="1"/>
    <xf numFmtId="44" fontId="0" fillId="0" borderId="0" xfId="0" applyNumberFormat="1"/>
    <xf numFmtId="43" fontId="0" fillId="0" borderId="0" xfId="0" applyNumberFormat="1"/>
    <xf numFmtId="44" fontId="0" fillId="0" borderId="0" xfId="2" applyFont="1"/>
    <xf numFmtId="41" fontId="6" fillId="0" borderId="0" xfId="2" applyNumberFormat="1" applyFont="1"/>
    <xf numFmtId="166" fontId="6" fillId="0" borderId="3" xfId="1" applyNumberFormat="1" applyFont="1" applyBorder="1"/>
    <xf numFmtId="165" fontId="6" fillId="0" borderId="1" xfId="2" applyNumberFormat="1" applyFont="1" applyBorder="1"/>
    <xf numFmtId="43" fontId="0" fillId="0" borderId="0" xfId="1" applyFont="1"/>
    <xf numFmtId="164" fontId="0" fillId="0" borderId="0" xfId="0" applyNumberFormat="1"/>
    <xf numFmtId="166" fontId="6" fillId="0" borderId="0" xfId="1" applyNumberFormat="1" applyFont="1" applyBorder="1"/>
    <xf numFmtId="0" fontId="10" fillId="0" borderId="0" xfId="0" applyFont="1"/>
    <xf numFmtId="165" fontId="6" fillId="2" borderId="2" xfId="0" applyNumberFormat="1" applyFont="1" applyFill="1" applyBorder="1" applyAlignment="1">
      <alignment horizontal="right"/>
    </xf>
    <xf numFmtId="8" fontId="0" fillId="0" borderId="0" xfId="0" applyNumberFormat="1"/>
  </cellXfs>
  <cellStyles count="3">
    <cellStyle name="Comma" xfId="1" builtinId="3"/>
    <cellStyle name="Currency" xfId="2" builtinId="4"/>
    <cellStyle name="Normal" xfId="0" builtinId="0"/>
  </cellStyles>
  <dxfs count="105"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Roboto Condensed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Roboto Condensed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 Narrow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/>
        <strike val="0"/>
        <outline val="0"/>
        <shadow val="0"/>
        <u val="none"/>
        <vertAlign val="baseline"/>
        <sz val="10"/>
        <color theme="1"/>
        <name val="Roboto"/>
        <scheme val="none"/>
      </font>
    </dxf>
    <dxf>
      <font>
        <b/>
      </font>
    </dxf>
    <dxf>
      <font>
        <b/>
        <strike val="0"/>
        <outline val="0"/>
        <shadow val="0"/>
        <u val="none"/>
        <vertAlign val="baseline"/>
        <sz val="10"/>
        <color rgb="FF000000"/>
        <name val="Roboto"/>
        <scheme val="none"/>
      </font>
    </dxf>
    <dxf>
      <font>
        <b val="0"/>
        <strike val="0"/>
        <outline val="0"/>
        <shadow val="0"/>
        <u val="none"/>
        <vertAlign val="baseline"/>
        <sz val="11"/>
        <color theme="7"/>
        <name val="Arial Narrow"/>
        <family val="2"/>
        <scheme val="none"/>
      </font>
      <fill>
        <patternFill patternType="solid">
          <fgColor indexed="64"/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D78FA71-96D7-4D8D-8AB9-0C496B12005E}" name="Table358910" displayName="Table358910" ref="B8:J17" totalsRowCount="1" headerRowDxfId="104" dataDxfId="103" totalsRowDxfId="102">
  <autoFilter ref="B8:J16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3B47C2A9-09CD-4E7A-8B84-DFE18B9EEE5D}" name="Village Commission/ Clerk  Name" totalsRowLabel="Total" dataDxfId="101" totalsRowDxfId="100"/>
    <tableColumn id="9" xr3:uid="{8F4C93DA-9507-4EE6-BE6A-AE577A366648}" name="Title" dataDxfId="99" totalsRowDxfId="98"/>
    <tableColumn id="2" xr3:uid="{693DEB45-0621-451E-8281-C90E397A5B99}" name="Remuneration" totalsRowFunction="custom" dataDxfId="97" totalsRowDxfId="96">
      <totalsRowFormula>+D14+D16</totalsRowFormula>
    </tableColumn>
    <tableColumn id="3" xr3:uid="{AC6EEBBD-1EB1-4F63-A850-D7CA50A46F04}" name="Travel Related Expenses" totalsRowFunction="custom" dataDxfId="95" totalsRowDxfId="94">
      <totalsRowFormula>+E14+E16</totalsRowFormula>
    </tableColumn>
    <tableColumn id="4" xr3:uid="{20FAA1B9-4FD4-4F98-877D-9C091107A935}" name="Meals" totalsRowFunction="custom" dataDxfId="93" totalsRowDxfId="92">
      <totalsRowFormula>+F14+F16</totalsRowFormula>
    </tableColumn>
    <tableColumn id="5" xr3:uid="{1E773FF4-7142-48FC-B7FB-A78D53D9C7AD}" name="Professional Development and Training" totalsRowFunction="custom" dataDxfId="91" totalsRowDxfId="90">
      <totalsRowFormula>+G14+G16</totalsRowFormula>
    </tableColumn>
    <tableColumn id="6" xr3:uid="{32A9B833-562A-4312-B4E9-958C324FED60}" name="Other Expenses" totalsRowFunction="custom" dataDxfId="89" totalsRowDxfId="88">
      <totalsRowFormula>+H14+H16</totalsRowFormula>
    </tableColumn>
    <tableColumn id="7" xr3:uid="{141EC388-E606-442D-9F71-819292CA39F6}" name="Total Expenses" totalsRowFunction="custom" dataDxfId="87" totalsRowDxfId="86">
      <totalsRowFormula>SUM(E17:H17)</totalsRowFormula>
    </tableColumn>
    <tableColumn id="8" xr3:uid="{7F44DC8E-181C-4427-B50D-163096745C5F}" name="Total Remuneration and Expenses" totalsRowFunction="custom" dataDxfId="85" totalsRowDxfId="84">
      <totalsRowFormula>+J14+J16</totalsRowFormula>
    </tableColumn>
  </tableColumns>
  <tableStyleInfo name="TableStyleMedium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FE20BFE-9A17-4772-8CCA-78462B6FAF46}" name="Table3589" displayName="Table3589" ref="B8:J18" totalsRowCount="1" headerRowDxfId="83" dataDxfId="82" totalsRowDxfId="81">
  <autoFilter ref="B8:J17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7117D3B0-7E7E-475D-9727-0D53EE521B7B}" name="Village Commission/ Clerk  Name" totalsRowLabel="Total" dataDxfId="80" totalsRowDxfId="79"/>
    <tableColumn id="9" xr3:uid="{73C50123-1011-4B54-A495-D643C8992B41}" name="Title" dataDxfId="78" totalsRowDxfId="77"/>
    <tableColumn id="2" xr3:uid="{B4940CC4-2FA1-4A73-B83F-5466D364386A}" name="Remuneration" totalsRowFunction="custom" dataDxfId="76" totalsRowDxfId="75">
      <totalsRowFormula>+D15+D17</totalsRowFormula>
    </tableColumn>
    <tableColumn id="3" xr3:uid="{6113517D-B603-44C2-93E7-9F6771B74EC7}" name="Travel Related Expenses" totalsRowFunction="custom" dataDxfId="74" totalsRowDxfId="73">
      <totalsRowFormula>+E15+E17</totalsRowFormula>
    </tableColumn>
    <tableColumn id="4" xr3:uid="{E0F08C35-5222-45AC-8815-4077B2C33F3F}" name="Meals" totalsRowFunction="custom" dataDxfId="72" totalsRowDxfId="71">
      <totalsRowFormula>+F15+F17</totalsRowFormula>
    </tableColumn>
    <tableColumn id="5" xr3:uid="{0118ABEC-F689-408F-9ED7-7C8FFC43EBED}" name="Professional Development and Training" totalsRowFunction="custom" dataDxfId="70" totalsRowDxfId="69">
      <totalsRowFormula>+G15+G17</totalsRowFormula>
    </tableColumn>
    <tableColumn id="6" xr3:uid="{7C940BCE-3564-42B6-BEA0-09BF5A46AC35}" name="Other Expenses-Hotel" totalsRowFunction="custom" dataDxfId="68" totalsRowDxfId="67">
      <totalsRowFormula>+H15+H17</totalsRowFormula>
    </tableColumn>
    <tableColumn id="7" xr3:uid="{BE617BB7-16CB-43F1-B6CF-3ACF18BA8FDF}" name="Total Expenses" totalsRowFunction="custom" dataDxfId="66" totalsRowDxfId="65">
      <totalsRowFormula>SUM(E18:H18)</totalsRowFormula>
    </tableColumn>
    <tableColumn id="8" xr3:uid="{1559ACFA-068C-492B-B740-51C14FC47BFB}" name="Total Remuneration and Expenses" totalsRowFunction="custom" dataDxfId="64" totalsRowDxfId="63">
      <totalsRowFormula>+D18+I18</totalsRowFormula>
    </tableColumn>
  </tableColumns>
  <tableStyleInfo name="TableStyleMedium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2CB2980-0BD2-49E7-B7AA-ABC9859D453C}" name="Table35811" displayName="Table35811" ref="B8:J18" totalsRowCount="1" headerRowDxfId="62" dataDxfId="61" totalsRowDxfId="60">
  <autoFilter ref="B8:J17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4BA6DD20-5B89-45D5-ADB7-E5919C99F8DF}" name="Village Commission/ Clerk  Name" totalsRowLabel="Total" dataDxfId="59" totalsRowDxfId="58"/>
    <tableColumn id="9" xr3:uid="{57DE41F4-4D22-451D-85FC-95B1EA0E40EC}" name="Title" dataDxfId="57" totalsRowDxfId="56"/>
    <tableColumn id="2" xr3:uid="{D825E13A-2213-4532-A030-E684B78C5457}" name="Remuneration" totalsRowFunction="custom" dataDxfId="55" totalsRowDxfId="54">
      <totalsRowFormula>+D15+D17</totalsRowFormula>
    </tableColumn>
    <tableColumn id="3" xr3:uid="{4AF6FC7D-D262-4CC2-8CDB-64E410E03944}" name="Travel Related Expenses" totalsRowFunction="custom" dataDxfId="53" totalsRowDxfId="52">
      <totalsRowFormula>+E15+E17</totalsRowFormula>
    </tableColumn>
    <tableColumn id="4" xr3:uid="{C39A0190-AF8A-4434-A58B-9A8B57E656A7}" name="Meals" totalsRowFunction="custom" dataDxfId="51" totalsRowDxfId="50">
      <totalsRowFormula>+F15+F17</totalsRowFormula>
    </tableColumn>
    <tableColumn id="5" xr3:uid="{6340D699-56B0-4165-9D07-365F03975A73}" name="Professional Development and Training" totalsRowFunction="custom" dataDxfId="49" totalsRowDxfId="48">
      <totalsRowFormula>+G15+G17</totalsRowFormula>
    </tableColumn>
    <tableColumn id="6" xr3:uid="{70E7B712-A94E-4BC6-988E-8B1E7D1454A2}" name="Other Expenses-hotel " totalsRowFunction="custom" dataDxfId="47" totalsRowDxfId="46">
      <totalsRowFormula>+H15+H17</totalsRowFormula>
    </tableColumn>
    <tableColumn id="7" xr3:uid="{87AFC7BC-9085-43A7-8F01-7BDCE84024A8}" name="Total Expenses" totalsRowFunction="custom" dataDxfId="45" totalsRowDxfId="44">
      <totalsRowFormula>SUM(E18:H18)</totalsRowFormula>
    </tableColumn>
    <tableColumn id="8" xr3:uid="{89FCFB7C-11F9-428A-884A-E0C22F551F60}" name="Total Remuneration and Expenses" totalsRowFunction="custom" dataDxfId="43" totalsRowDxfId="42">
      <totalsRowFormula>+D18+I18</totalsRowFormula>
    </tableColumn>
  </tableColumns>
  <tableStyleInfo name="TableStyleMedium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82D42C8-9901-482C-959B-34C803AA5014}" name="Table358111415" displayName="Table358111415" ref="B8:J20" totalsRowCount="1" headerRowDxfId="41" dataDxfId="40" totalsRowDxfId="39">
  <autoFilter ref="B8:J19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31FC670-9EF4-49F9-9CED-7319646ADA5A}" name="Village Commission/ Clerk  Name" dataDxfId="38" totalsRowDxfId="17"/>
    <tableColumn id="9" xr3:uid="{0077652B-0630-4F6F-9482-1DA4322399B9}" name="Title" totalsRowFunction="custom" dataDxfId="37" totalsRowDxfId="16">
      <totalsRowFormula>SUBTOTAL(109,C19)</totalsRowFormula>
    </tableColumn>
    <tableColumn id="2" xr3:uid="{5AEC90CC-683D-49C5-A41E-EDAAA48993B3}" name="Remuneration" totalsRowLabel=" $14,725 " dataDxfId="36" totalsRowDxfId="15"/>
    <tableColumn id="3" xr3:uid="{19E59633-E9FA-4C6D-93FE-0003740AB5BF}" name="Travel Related Expenses" totalsRowFunction="custom" dataDxfId="35" totalsRowDxfId="14">
      <totalsRowFormula>SUBTOTAL(109,E19)</totalsRowFormula>
    </tableColumn>
    <tableColumn id="4" xr3:uid="{D855E873-94F0-4D82-B4A3-533778728849}" name="Meals" totalsRowFunction="custom" dataDxfId="34" totalsRowDxfId="13">
      <totalsRowFormula>SUBTOTAL(109,F19)</totalsRowFormula>
    </tableColumn>
    <tableColumn id="5" xr3:uid="{D91F18D1-870C-404A-B47A-54EBF6CC2510}" name="Professional Development and Training" totalsRowFunction="custom" dataDxfId="33" totalsRowDxfId="12">
      <totalsRowFormula>SUBTOTAL(109,G19)</totalsRowFormula>
    </tableColumn>
    <tableColumn id="6" xr3:uid="{684D9B92-7C15-4C3D-938A-94013DF96F79}" name="Other Expenses-Parking" totalsRowFunction="custom" dataDxfId="32" totalsRowDxfId="11">
      <totalsRowFormula>SUBTOTAL(109,H19)</totalsRowFormula>
    </tableColumn>
    <tableColumn id="7" xr3:uid="{525A9F5A-0919-4C3E-BC56-711AB0A2C393}" name="Total Expenses" totalsRowFunction="custom" dataDxfId="31" totalsRowDxfId="10">
      <totalsRowFormula>SUBTOTAL(109,I19)</totalsRowFormula>
    </tableColumn>
    <tableColumn id="8" xr3:uid="{5D17E179-52D8-4287-9D73-16F760859274}" name="Total Remuneration and Expenses" totalsRowFunction="custom" dataDxfId="30" totalsRowDxfId="9">
      <totalsRowFormula>SUBTOTAL(109,J18:J19)</totalsRowFormula>
    </tableColumn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8F409DCD-21A0-4AF3-A671-347B2F33C867}" name="Table3581114" displayName="Table3581114" ref="B8:J21" totalsRowCount="1" headerRowDxfId="29" dataDxfId="28" totalsRowDxfId="27">
  <autoFilter ref="B8:J20" xr:uid="{3E31C51F-DA48-4044-9A58-2277A0417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1EAACAE-6FEB-473D-B975-FFED4BF187D2}" name="Village Commission/ Clerk  Name" totalsRowLabel="Total" dataDxfId="26" totalsRowDxfId="8"/>
    <tableColumn id="9" xr3:uid="{C5C4F98D-0CAF-401D-9EAA-4570D0A9EF8D}" name="Title" dataDxfId="25" totalsRowDxfId="7"/>
    <tableColumn id="2" xr3:uid="{022AF05B-9D24-49B3-8477-8A295D4586C1}" name="Remuneration" totalsRowLabel=" $7,389 " dataDxfId="24" totalsRowDxfId="6"/>
    <tableColumn id="3" xr3:uid="{E420A001-005E-4199-BE32-52A4D37C5AF9}" name="Travel Related Expenses" totalsRowFunction="custom" dataDxfId="23" totalsRowDxfId="5">
      <totalsRowFormula>+E16+E20</totalsRowFormula>
    </tableColumn>
    <tableColumn id="4" xr3:uid="{AA7D1DB7-81E4-47CF-9FC5-341E7CC77FB9}" name="Meals" totalsRowFunction="custom" dataDxfId="22" totalsRowDxfId="4">
      <totalsRowFormula>+F16+F20</totalsRowFormula>
    </tableColumn>
    <tableColumn id="5" xr3:uid="{BDDC17BC-F36B-456A-B8CA-46A854533FF8}" name="Professional Development and Training" totalsRowFunction="custom" dataDxfId="21" totalsRowDxfId="3">
      <totalsRowFormula>+G16+G20</totalsRowFormula>
    </tableColumn>
    <tableColumn id="6" xr3:uid="{BCE92691-659A-48F3-9CCE-74C2C50B377B}" name="Other Expenses- Hotels" totalsRowFunction="custom" dataDxfId="20" totalsRowDxfId="2">
      <totalsRowFormula>+H16+H20</totalsRowFormula>
    </tableColumn>
    <tableColumn id="7" xr3:uid="{7252E6CF-5186-4C08-B493-5EB3A9DD4247}" name="Total Expenses" totalsRowFunction="custom" dataDxfId="19" totalsRowDxfId="1">
      <totalsRowFormula>SUM(E21:H21)</totalsRowFormula>
    </tableColumn>
    <tableColumn id="8" xr3:uid="{C1640B32-87D1-49E9-ADD8-D8F8DA567C0A}" name="Total Remuneration and Expenses" totalsRowFunction="custom" dataDxfId="18" totalsRowDxfId="0">
      <totalsRowFormula>+J16+J20+J18</totalsRowFormula>
    </tableColumn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2450D-DB3B-4815-9044-3874ECCE8AEE}">
  <sheetPr>
    <pageSetUpPr fitToPage="1"/>
  </sheetPr>
  <dimension ref="A1:J17"/>
  <sheetViews>
    <sheetView showGridLines="0" showRowColHeaders="0" workbookViewId="0">
      <selection activeCell="C7" sqref="C7"/>
    </sheetView>
  </sheetViews>
  <sheetFormatPr defaultRowHeight="15" x14ac:dyDescent="0.25"/>
  <cols>
    <col min="2" max="10" width="15.7109375" customWidth="1"/>
  </cols>
  <sheetData>
    <row r="1" spans="1:10" x14ac:dyDescent="0.25">
      <c r="A1" t="s">
        <v>1</v>
      </c>
    </row>
    <row r="3" spans="1:10" x14ac:dyDescent="0.25">
      <c r="B3" s="2"/>
    </row>
    <row r="6" spans="1:10" ht="18" x14ac:dyDescent="0.35">
      <c r="B6" s="14" t="s">
        <v>14</v>
      </c>
      <c r="C6" s="3"/>
      <c r="D6" s="3"/>
      <c r="E6" s="3"/>
      <c r="F6" s="3"/>
      <c r="G6" s="3"/>
      <c r="H6" s="3"/>
      <c r="I6" s="3"/>
      <c r="J6" s="3"/>
    </row>
    <row r="7" spans="1:10" ht="16.5" x14ac:dyDescent="0.3">
      <c r="B7" s="15" t="s">
        <v>36</v>
      </c>
      <c r="C7" s="3"/>
      <c r="D7" s="3"/>
      <c r="E7" s="3"/>
      <c r="F7" s="3"/>
      <c r="G7" s="3"/>
      <c r="H7" s="3"/>
      <c r="I7" s="3"/>
      <c r="J7" s="3"/>
    </row>
    <row r="8" spans="1:10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7</v>
      </c>
      <c r="I8" s="16" t="s">
        <v>8</v>
      </c>
      <c r="J8" s="16" t="s">
        <v>10</v>
      </c>
    </row>
    <row r="9" spans="1:10" x14ac:dyDescent="0.25">
      <c r="B9" s="4" t="s">
        <v>20</v>
      </c>
      <c r="C9" s="13" t="s">
        <v>12</v>
      </c>
      <c r="D9" s="5">
        <f>+Table3589[[#This Row],[Remuneration]]+Table35811[[#This Row],[Remuneration]]+Table358111415[[#This Row],[Remuneration]]+Table3581114[[#This Row],[Remuneration]]</f>
        <v>3592.92</v>
      </c>
      <c r="E9" s="5">
        <f>+Table3589[[#This Row],[Travel Related Expenses]]+Table35811[[#This Row],[Travel Related Expenses]]+Table358111415[[#This Row],[Travel Related Expenses]]+Table3581114[[#This Row],[Travel Related Expenses]]</f>
        <v>501</v>
      </c>
      <c r="F9" s="5">
        <f>+Table3589[[#This Row],[Meals]]+Table35811[[#This Row],[Meals]]+Table358111415[[#This Row],[Meals]]+Table3581114[[#This Row],[Meals]]</f>
        <v>30</v>
      </c>
      <c r="G9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9" s="5">
        <f>+Table3589[[#This Row],[Other Expenses-Hotel]]+Table35811[[#This Row],[Other Expenses-hotel ]]+Table358111415[[#This Row],[Other Expenses-Parking]]+Table3581114[[#This Row],[Other Expenses- Hotels]]</f>
        <v>274</v>
      </c>
      <c r="I9" s="6">
        <f>SUM(E9:H9)</f>
        <v>805</v>
      </c>
      <c r="J9" s="6">
        <f>+D9+I9</f>
        <v>4397.92</v>
      </c>
    </row>
    <row r="10" spans="1:10" x14ac:dyDescent="0.25">
      <c r="B10" s="4" t="s">
        <v>21</v>
      </c>
      <c r="C10" s="13" t="s">
        <v>24</v>
      </c>
      <c r="D10" s="22">
        <f>+Table3589[[#This Row],[Remuneration]]+Table35811[[#This Row],[Remuneration]]+Table358111415[[#This Row],[Remuneration]]+Table3581114[[#This Row],[Remuneration]]</f>
        <v>3316.37</v>
      </c>
      <c r="E10" s="5">
        <f>+Table3589[[#This Row],[Travel Related Expenses]]+Table35811[[#This Row],[Travel Related Expenses]]+Table358111415[[#This Row],[Travel Related Expenses]]+Table3581114[[#This Row],[Travel Related Expenses]]</f>
        <v>375</v>
      </c>
      <c r="F10" s="5">
        <f>+Table3589[[#This Row],[Meals]]+Table35811[[#This Row],[Meals]]+Table358111415[[#This Row],[Meals]]+Table3581114[[#This Row],[Meals]]</f>
        <v>20</v>
      </c>
      <c r="G10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0" s="5">
        <f>+Table3589[[#This Row],[Other Expenses-Hotel]]+Table35811[[#This Row],[Other Expenses-hotel ]]+Table358111415[[#This Row],[Other Expenses-Parking]]+Table3581114[[#This Row],[Other Expenses- Hotels]]</f>
        <v>137</v>
      </c>
      <c r="I10" s="8">
        <f t="shared" ref="I10:I12" si="0">SUM(E10:H10)</f>
        <v>532</v>
      </c>
      <c r="J10" s="8">
        <f t="shared" ref="J10:J12" si="1">+D10+I10</f>
        <v>3848.37</v>
      </c>
    </row>
    <row r="11" spans="1:10" x14ac:dyDescent="0.25">
      <c r="B11" s="4" t="s">
        <v>22</v>
      </c>
      <c r="C11" s="13" t="s">
        <v>13</v>
      </c>
      <c r="D11" s="22">
        <f>+Table3589[[#This Row],[Remuneration]]+Table35811[[#This Row],[Remuneration]]+Table358111415[[#This Row],[Remuneration]]+Table3581114[[#This Row],[Remuneration]]</f>
        <v>3040.67</v>
      </c>
      <c r="E11" s="5">
        <f>+Table3589[[#This Row],[Travel Related Expenses]]+Table35811[[#This Row],[Travel Related Expenses]]+Table358111415[[#This Row],[Travel Related Expenses]]+Table3581114[[#This Row],[Travel Related Expenses]]</f>
        <v>0</v>
      </c>
      <c r="F11" s="5">
        <f>+Table3589[[#This Row],[Meals]]+Table35811[[#This Row],[Meals]]+Table358111415[[#This Row],[Meals]]+Table3581114[[#This Row],[Meals]]</f>
        <v>0</v>
      </c>
      <c r="G11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1" s="5">
        <f>+Table3589[[#This Row],[Other Expenses-Hotel]]+Table35811[[#This Row],[Other Expenses-hotel ]]+Table358111415[[#This Row],[Other Expenses-Parking]]+Table3581114[[#This Row],[Other Expenses- Hotels]]</f>
        <v>0</v>
      </c>
      <c r="I11" s="8">
        <f t="shared" si="0"/>
        <v>0</v>
      </c>
      <c r="J11" s="8">
        <f t="shared" si="1"/>
        <v>3040.67</v>
      </c>
    </row>
    <row r="12" spans="1:10" x14ac:dyDescent="0.25">
      <c r="B12" s="4" t="s">
        <v>32</v>
      </c>
      <c r="C12" s="13" t="s">
        <v>13</v>
      </c>
      <c r="D12" s="22">
        <f>+Table3589[[#This Row],[Remuneration]]+Table35811[[#This Row],[Remuneration]]+Table358111415[[#This Row],[Remuneration]]+Table3581114[[#This Row],[Remuneration]]</f>
        <v>3040.67</v>
      </c>
      <c r="E12" s="5">
        <f>+Table3589[[#This Row],[Travel Related Expenses]]+Table35811[[#This Row],[Travel Related Expenses]]+Table358111415[[#This Row],[Travel Related Expenses]]+Table3581114[[#This Row],[Travel Related Expenses]]</f>
        <v>35.229999999999997</v>
      </c>
      <c r="F12" s="5">
        <f>+Table3589[[#This Row],[Meals]]+Table35811[[#This Row],[Meals]]+Table358111415[[#This Row],[Meals]]+Table3581114[[#This Row],[Meals]]</f>
        <v>0</v>
      </c>
      <c r="G12" s="5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2" s="5">
        <f>+Table3589[[#This Row],[Other Expenses-Hotel]]+Table35811[[#This Row],[Other Expenses-hotel ]]+Table358111415[[#This Row],[Other Expenses-Parking]]+Table3581114[[#This Row],[Other Expenses- Hotels]]</f>
        <v>0</v>
      </c>
      <c r="I12" s="8">
        <f t="shared" si="0"/>
        <v>35.229999999999997</v>
      </c>
      <c r="J12" s="8">
        <f t="shared" si="1"/>
        <v>3075.9</v>
      </c>
    </row>
    <row r="13" spans="1:10" x14ac:dyDescent="0.25">
      <c r="B13" s="4" t="s">
        <v>33</v>
      </c>
      <c r="C13" s="13" t="s">
        <v>13</v>
      </c>
      <c r="D13" s="22">
        <f>+Table3589[[#This Row],[Remuneration]]+Table35811[[#This Row],[Remuneration]]+Table358111415[[#This Row],[Remuneration]]+Table3581114[[#This Row],[Remuneration]]</f>
        <v>3040.67</v>
      </c>
      <c r="E13" s="24">
        <f>+Table3589[[#This Row],[Travel Related Expenses]]+Table35811[[#This Row],[Travel Related Expenses]]+Table358111415[[#This Row],[Travel Related Expenses]]+Table3581114[[#This Row],[Travel Related Expenses]]</f>
        <v>0</v>
      </c>
      <c r="F13" s="24">
        <f>+Table3589[[#This Row],[Meals]]+Table35811[[#This Row],[Meals]]+Table358111415[[#This Row],[Meals]]+Table3581114[[#This Row],[Meals]]</f>
        <v>0</v>
      </c>
      <c r="G13" s="24">
        <f>+Table3589[[#This Row],[Professional Development and Training]]+Table35811[[#This Row],[Professional Development and Training]]+Table358111415[[#This Row],[Professional Development and Training]]+Table3581114[[#This Row],[Professional Development and Training]]</f>
        <v>0</v>
      </c>
      <c r="H13" s="24">
        <f>+Table3589[[#This Row],[Other Expenses-Hotel]]+Table35811[[#This Row],[Other Expenses-hotel ]]+Table358111415[[#This Row],[Other Expenses-Parking]]+Table3581114[[#This Row],[Other Expenses- Hotels]]</f>
        <v>0</v>
      </c>
      <c r="I13" s="10">
        <f>+Table358910[[#This Row],[Travel Related Expenses]]+Table358910[[#This Row],[Meals]]+Table358910[[#This Row],[Professional Development and Training]]+Table358910[[#This Row],[Other Expenses]]</f>
        <v>0</v>
      </c>
      <c r="J13" s="10">
        <f>+Table358910[[#This Row],[Total Expenses]]+Table358910[[#This Row],[Remuneration]]</f>
        <v>3040.67</v>
      </c>
    </row>
    <row r="14" spans="1:10" x14ac:dyDescent="0.25">
      <c r="B14" s="4"/>
      <c r="C14" s="13"/>
      <c r="D14" s="6">
        <f>SUM(D9:D13)</f>
        <v>16031.3</v>
      </c>
      <c r="E14" s="6">
        <f>SUM(E9:E13)</f>
        <v>911.23</v>
      </c>
      <c r="F14" s="6">
        <f>SUM(F9:F13)</f>
        <v>50</v>
      </c>
      <c r="G14" s="6">
        <f>SUM(G9:G13)</f>
        <v>0</v>
      </c>
      <c r="H14" s="6">
        <f>SUM(H9:H13)</f>
        <v>411</v>
      </c>
      <c r="I14" s="6">
        <f>SUM(I9:I12)</f>
        <v>1372.23</v>
      </c>
      <c r="J14" s="6">
        <f>SUBTOTAL(109,J9:J13)</f>
        <v>17403.53</v>
      </c>
    </row>
    <row r="15" spans="1:10" x14ac:dyDescent="0.25">
      <c r="B15" s="4" t="s">
        <v>9</v>
      </c>
      <c r="C15" s="13"/>
      <c r="D15" s="11"/>
      <c r="E15" s="11"/>
      <c r="F15" s="11"/>
      <c r="G15" s="11"/>
      <c r="H15" s="11"/>
      <c r="I15" s="11"/>
      <c r="J15" s="11"/>
    </row>
    <row r="16" spans="1:10" x14ac:dyDescent="0.25">
      <c r="B16" s="4" t="s">
        <v>31</v>
      </c>
      <c r="C16" s="13" t="s">
        <v>11</v>
      </c>
      <c r="D16" s="9">
        <f>+'Quarter 1'!D17+'Quarter 2'!D17+'Quarter 3'!D18+'Quarter 4'!D20</f>
        <v>28917.129999999997</v>
      </c>
      <c r="E16" s="9">
        <f>+'Quarter 1'!E17+'Quarter 2'!E17+'Quarter 3'!E18+'Quarter 4'!E20</f>
        <v>233.09</v>
      </c>
      <c r="F16" s="9">
        <f>+'Quarter 1'!F17+'Quarter 2'!F17+'Quarter 3'!F18+'Quarter 4'!F20</f>
        <v>31</v>
      </c>
      <c r="G16" s="9">
        <f>+'Quarter 1'!G17+'Quarter 2'!G17+'Quarter 3'!G18+'Quarter 4'!G20</f>
        <v>431.25</v>
      </c>
      <c r="H16" s="9">
        <f>+'Quarter 1'!H17+'Quarter 2'!H17+'Quarter 3'!H18+'Quarter 4'!H20</f>
        <v>178</v>
      </c>
      <c r="I16" s="9">
        <f>SUM(Table358910[[#This Row],[Travel Related Expenses]:[Other Expenses]])</f>
        <v>873.34</v>
      </c>
      <c r="J16" s="9">
        <f>+Table358910[[#This Row],[Remuneration]]+Table358910[[#This Row],[Total Expenses]]</f>
        <v>29790.469999999998</v>
      </c>
    </row>
    <row r="17" spans="2:10" x14ac:dyDescent="0.25">
      <c r="B17" s="3" t="s">
        <v>2</v>
      </c>
      <c r="C17" s="3"/>
      <c r="D17" s="12">
        <f>+D14+D16</f>
        <v>44948.429999999993</v>
      </c>
      <c r="E17" s="12">
        <f>+E14+E16</f>
        <v>1144.32</v>
      </c>
      <c r="F17" s="12">
        <f>+F14+F16</f>
        <v>81</v>
      </c>
      <c r="G17" s="12">
        <f>+G14+G16</f>
        <v>431.25</v>
      </c>
      <c r="H17" s="12">
        <f>+H14+H16</f>
        <v>589</v>
      </c>
      <c r="I17" s="12">
        <f t="shared" ref="I17" si="2">SUM(E17:H17)</f>
        <v>2245.5699999999997</v>
      </c>
      <c r="J17" s="12">
        <f>+J14+J16</f>
        <v>47194</v>
      </c>
    </row>
  </sheetData>
  <pageMargins left="0.7" right="0.7" top="0.75" bottom="0.75" header="0.3" footer="0.3"/>
  <pageSetup scale="81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CE5DA-1F96-416F-AD91-B76CA9FA5DFE}">
  <sheetPr>
    <pageSetUpPr fitToPage="1"/>
  </sheetPr>
  <dimension ref="A1:J24"/>
  <sheetViews>
    <sheetView showGridLines="0" showRowColHeaders="0" topLeftCell="A4" workbookViewId="0">
      <selection activeCell="E18" sqref="E18"/>
    </sheetView>
  </sheetViews>
  <sheetFormatPr defaultRowHeight="15" x14ac:dyDescent="0.25"/>
  <cols>
    <col min="2" max="10" width="15.7109375" customWidth="1"/>
  </cols>
  <sheetData>
    <row r="1" spans="1:10" x14ac:dyDescent="0.25">
      <c r="A1" t="s">
        <v>1</v>
      </c>
    </row>
    <row r="3" spans="1:10" x14ac:dyDescent="0.25">
      <c r="B3" s="2"/>
    </row>
    <row r="6" spans="1:10" ht="18" x14ac:dyDescent="0.35">
      <c r="B6" s="14" t="s">
        <v>18</v>
      </c>
      <c r="C6" s="3"/>
      <c r="D6" s="3"/>
      <c r="E6" s="3"/>
      <c r="F6" s="3"/>
      <c r="G6" s="3"/>
      <c r="H6" s="3"/>
      <c r="I6" s="3"/>
      <c r="J6" s="3"/>
    </row>
    <row r="7" spans="1:10" ht="16.5" x14ac:dyDescent="0.3">
      <c r="B7" s="15" t="s">
        <v>36</v>
      </c>
      <c r="C7" s="3"/>
      <c r="D7" s="3" t="s">
        <v>25</v>
      </c>
      <c r="E7" s="3">
        <v>2022</v>
      </c>
      <c r="F7" s="3"/>
      <c r="G7" s="3"/>
      <c r="H7" s="3"/>
      <c r="I7" s="3"/>
      <c r="J7" s="3"/>
    </row>
    <row r="8" spans="1:10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35</v>
      </c>
      <c r="I8" s="16" t="s">
        <v>8</v>
      </c>
      <c r="J8" s="16" t="s">
        <v>10</v>
      </c>
    </row>
    <row r="9" spans="1:10" x14ac:dyDescent="0.25">
      <c r="B9" s="4" t="s">
        <v>20</v>
      </c>
      <c r="C9" s="13" t="s">
        <v>12</v>
      </c>
      <c r="D9" s="5">
        <v>898.92</v>
      </c>
      <c r="E9" s="5"/>
      <c r="F9" s="5"/>
      <c r="G9" s="5">
        <v>0</v>
      </c>
      <c r="H9" s="5">
        <v>0</v>
      </c>
      <c r="I9" s="6">
        <f>SUM(E9:H9)</f>
        <v>0</v>
      </c>
      <c r="J9" s="6">
        <f>+Table3589[[#This Row],[Remuneration]]+Table3589[[#This Row],[Total Expenses]]</f>
        <v>898.92</v>
      </c>
    </row>
    <row r="10" spans="1:10" x14ac:dyDescent="0.25">
      <c r="B10" s="4" t="s">
        <v>21</v>
      </c>
      <c r="C10" s="13" t="s">
        <v>24</v>
      </c>
      <c r="D10" s="7">
        <v>829.37</v>
      </c>
      <c r="E10" s="7">
        <v>0</v>
      </c>
      <c r="F10" s="7">
        <v>0</v>
      </c>
      <c r="G10" s="7">
        <v>0</v>
      </c>
      <c r="H10" s="7">
        <v>0</v>
      </c>
      <c r="I10" s="8">
        <f t="shared" ref="I10:I13" si="0">SUM(E10:H10)</f>
        <v>0</v>
      </c>
      <c r="J10" s="8">
        <f t="shared" ref="J10:J13" si="1">+D10+I10</f>
        <v>829.37</v>
      </c>
    </row>
    <row r="11" spans="1:10" x14ac:dyDescent="0.25">
      <c r="B11" s="4" t="s">
        <v>22</v>
      </c>
      <c r="C11" s="13" t="s">
        <v>13</v>
      </c>
      <c r="D11" s="7">
        <v>760.67</v>
      </c>
      <c r="E11" s="7">
        <v>0</v>
      </c>
      <c r="F11" s="7">
        <v>0</v>
      </c>
      <c r="G11" s="7">
        <v>0</v>
      </c>
      <c r="H11" s="7">
        <v>0</v>
      </c>
      <c r="I11" s="8">
        <f t="shared" si="0"/>
        <v>0</v>
      </c>
      <c r="J11" s="8">
        <f t="shared" si="1"/>
        <v>760.67</v>
      </c>
    </row>
    <row r="12" spans="1:10" x14ac:dyDescent="0.25">
      <c r="B12" s="4" t="s">
        <v>32</v>
      </c>
      <c r="C12" s="13" t="s">
        <v>13</v>
      </c>
      <c r="D12" s="7">
        <v>760.67</v>
      </c>
      <c r="E12" s="7">
        <v>0</v>
      </c>
      <c r="F12" s="7">
        <v>0</v>
      </c>
      <c r="G12" s="7">
        <v>0</v>
      </c>
      <c r="H12" s="7">
        <v>0</v>
      </c>
      <c r="I12" s="8">
        <f t="shared" si="0"/>
        <v>0</v>
      </c>
      <c r="J12" s="8">
        <f t="shared" si="1"/>
        <v>760.67</v>
      </c>
    </row>
    <row r="13" spans="1:10" x14ac:dyDescent="0.25">
      <c r="B13" s="4" t="s">
        <v>23</v>
      </c>
      <c r="C13" s="13" t="s">
        <v>13</v>
      </c>
      <c r="D13" s="7">
        <v>760.67</v>
      </c>
      <c r="E13" s="7">
        <v>0</v>
      </c>
      <c r="F13" s="7">
        <v>0</v>
      </c>
      <c r="G13" s="7">
        <v>0</v>
      </c>
      <c r="H13" s="7">
        <v>0</v>
      </c>
      <c r="I13" s="8">
        <f t="shared" si="0"/>
        <v>0</v>
      </c>
      <c r="J13" s="8">
        <f t="shared" si="1"/>
        <v>760.67</v>
      </c>
    </row>
    <row r="14" spans="1:10" x14ac:dyDescent="0.25">
      <c r="B14" s="4"/>
      <c r="C14" s="13"/>
      <c r="D14" s="9"/>
      <c r="E14" s="9" t="s">
        <v>1</v>
      </c>
      <c r="F14" s="9" t="s">
        <v>1</v>
      </c>
      <c r="G14" s="9" t="s">
        <v>1</v>
      </c>
      <c r="H14" s="9" t="s">
        <v>1</v>
      </c>
      <c r="I14" s="10" t="s">
        <v>1</v>
      </c>
      <c r="J14" s="10" t="s">
        <v>1</v>
      </c>
    </row>
    <row r="15" spans="1:10" x14ac:dyDescent="0.25">
      <c r="B15" s="4"/>
      <c r="C15" s="13"/>
      <c r="D15" s="6">
        <f>SUM(D9:D14)</f>
        <v>4010.3</v>
      </c>
      <c r="E15" s="6">
        <f>SUM(E9:E14)</f>
        <v>0</v>
      </c>
      <c r="F15" s="6">
        <f>SUM(F9:F14)</f>
        <v>0</v>
      </c>
      <c r="G15" s="6">
        <f>SUM(G9:G14)</f>
        <v>0</v>
      </c>
      <c r="H15" s="6">
        <f>SUM(H9:H14)</f>
        <v>0</v>
      </c>
      <c r="I15" s="6">
        <f t="shared" ref="I15" si="2">SUM(E15:H15)</f>
        <v>0</v>
      </c>
      <c r="J15" s="6">
        <f t="shared" ref="J15" si="3">+D15+I15</f>
        <v>4010.3</v>
      </c>
    </row>
    <row r="16" spans="1:10" x14ac:dyDescent="0.25">
      <c r="B16" s="4" t="s">
        <v>9</v>
      </c>
      <c r="C16" s="13"/>
      <c r="D16" s="11"/>
      <c r="E16" s="11"/>
      <c r="F16" s="11"/>
      <c r="G16" s="11"/>
      <c r="H16" s="11"/>
      <c r="I16" s="11"/>
      <c r="J16" s="11"/>
    </row>
    <row r="17" spans="2:10" x14ac:dyDescent="0.25">
      <c r="B17" s="4" t="s">
        <v>31</v>
      </c>
      <c r="C17" s="13" t="s">
        <v>11</v>
      </c>
      <c r="D17" s="9">
        <v>9517.1299999999992</v>
      </c>
      <c r="E17" s="9">
        <v>185.09</v>
      </c>
      <c r="F17" s="9">
        <v>31</v>
      </c>
      <c r="G17" s="9">
        <v>431.25</v>
      </c>
      <c r="H17" s="9">
        <v>178</v>
      </c>
      <c r="I17" s="9">
        <f>SUM(Table3589[[#This Row],[Travel Related Expenses]:[Other Expenses-Hotel]])</f>
        <v>825.34</v>
      </c>
      <c r="J17" s="9">
        <f>+Table3589[[#This Row],[Remuneration]]+Table3589[[#This Row],[Total Expenses]]</f>
        <v>10342.469999999999</v>
      </c>
    </row>
    <row r="18" spans="2:10" x14ac:dyDescent="0.25">
      <c r="B18" s="3" t="s">
        <v>2</v>
      </c>
      <c r="C18" s="3"/>
      <c r="D18" s="12">
        <f>+D15+D17</f>
        <v>13527.43</v>
      </c>
      <c r="E18" s="12">
        <f>+E15+E17</f>
        <v>185.09</v>
      </c>
      <c r="F18" s="12">
        <f>+F15+F17</f>
        <v>31</v>
      </c>
      <c r="G18" s="12">
        <f>+G15+G17</f>
        <v>431.25</v>
      </c>
      <c r="H18" s="12">
        <f>+H15+H17</f>
        <v>178</v>
      </c>
      <c r="I18" s="12">
        <f t="shared" ref="I18" si="4">SUM(E18:H18)</f>
        <v>825.34</v>
      </c>
      <c r="J18" s="12">
        <f t="shared" ref="J18" si="5">+D18+I18</f>
        <v>14352.77</v>
      </c>
    </row>
    <row r="23" spans="2:10" x14ac:dyDescent="0.25">
      <c r="I23" s="23">
        <f t="shared" ref="I23:I24" si="6">SUM(E23:H23)</f>
        <v>0</v>
      </c>
    </row>
    <row r="24" spans="2:10" x14ac:dyDescent="0.25">
      <c r="I24" s="23">
        <f t="shared" si="6"/>
        <v>0</v>
      </c>
    </row>
  </sheetData>
  <pageMargins left="0.7" right="0.7" top="0.75" bottom="0.75" header="0.3" footer="0.3"/>
  <pageSetup scale="81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62DC8-B6CE-41A0-9F9D-B3BACB336E74}">
  <sheetPr>
    <pageSetUpPr fitToPage="1"/>
  </sheetPr>
  <dimension ref="A1:M26"/>
  <sheetViews>
    <sheetView showGridLines="0" showRowColHeaders="0" workbookViewId="0">
      <selection activeCell="D21" sqref="D21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37</v>
      </c>
      <c r="C7" s="3"/>
      <c r="D7" s="3" t="s">
        <v>26</v>
      </c>
      <c r="E7" s="3"/>
      <c r="F7" s="3">
        <v>2022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34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386</v>
      </c>
      <c r="F9" s="5">
        <v>30</v>
      </c>
      <c r="G9" s="5"/>
      <c r="H9" s="5">
        <v>274</v>
      </c>
      <c r="I9" s="6">
        <f>SUM(E9:H9)</f>
        <v>690</v>
      </c>
      <c r="J9" s="6">
        <f>+D9+I9</f>
        <v>1588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300</v>
      </c>
      <c r="F10" s="7">
        <v>20</v>
      </c>
      <c r="G10" s="7"/>
      <c r="H10" s="7">
        <v>137</v>
      </c>
      <c r="I10" s="8">
        <f t="shared" ref="I10:I13" si="0">SUM(E10:H10)</f>
        <v>457</v>
      </c>
      <c r="J10" s="8">
        <f t="shared" ref="J10:J13" si="1">+D10+I10</f>
        <v>1286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/>
      <c r="F11" s="7"/>
      <c r="G11" s="7"/>
      <c r="H11" s="7"/>
      <c r="I11" s="8">
        <f t="shared" si="0"/>
        <v>0</v>
      </c>
      <c r="J11" s="8">
        <f t="shared" si="1"/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/>
      <c r="F12" s="7"/>
      <c r="G12" s="7"/>
      <c r="H12" s="7"/>
      <c r="I12" s="8">
        <f t="shared" si="0"/>
        <v>0</v>
      </c>
      <c r="J12" s="8">
        <f t="shared" si="1"/>
        <v>760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/>
      <c r="F13" s="7"/>
      <c r="G13" s="7"/>
      <c r="H13" s="7"/>
      <c r="I13" s="8">
        <f t="shared" si="0"/>
        <v>0</v>
      </c>
      <c r="J13" s="8">
        <f t="shared" si="1"/>
        <v>760</v>
      </c>
      <c r="L13" s="20"/>
      <c r="M13" s="19"/>
    </row>
    <row r="14" spans="1:13" x14ac:dyDescent="0.25">
      <c r="B14" s="4" t="s">
        <v>1</v>
      </c>
      <c r="C14" s="13" t="s">
        <v>1</v>
      </c>
      <c r="D14" s="9"/>
      <c r="E14" s="9"/>
      <c r="F14" s="9"/>
      <c r="G14" s="9"/>
      <c r="H14" s="9"/>
      <c r="I14" s="10" t="s">
        <v>1</v>
      </c>
      <c r="J14" s="10" t="s">
        <v>1</v>
      </c>
      <c r="L14" s="20"/>
      <c r="M14" s="19"/>
    </row>
    <row r="15" spans="1:13" x14ac:dyDescent="0.25">
      <c r="B15" s="4"/>
      <c r="C15" s="13"/>
      <c r="D15" s="6">
        <f>SUM(D9:D14)</f>
        <v>4007</v>
      </c>
      <c r="E15" s="6">
        <f>SUM(E9:E14)</f>
        <v>686</v>
      </c>
      <c r="F15" s="6">
        <f>SUM(F9:F14)</f>
        <v>50</v>
      </c>
      <c r="G15" s="6">
        <f>SUM(G9:G14)</f>
        <v>0</v>
      </c>
      <c r="H15" s="6">
        <f>SUM(H9:H14)</f>
        <v>411</v>
      </c>
      <c r="I15" s="6">
        <f t="shared" ref="I15" si="2">SUM(E15:H15)</f>
        <v>1147</v>
      </c>
      <c r="J15" s="6">
        <f t="shared" ref="J15" si="3">+D15+I15</f>
        <v>5154</v>
      </c>
      <c r="L15" s="20"/>
      <c r="M15" s="19"/>
    </row>
    <row r="16" spans="1:13" x14ac:dyDescent="0.25">
      <c r="B16" s="4" t="s">
        <v>9</v>
      </c>
      <c r="C16" s="13"/>
      <c r="D16" s="11"/>
      <c r="E16" s="11"/>
      <c r="F16" s="11"/>
      <c r="G16" s="11"/>
      <c r="H16" s="11"/>
      <c r="I16" s="11"/>
      <c r="J16" s="11"/>
      <c r="L16" s="20"/>
      <c r="M16" s="19"/>
    </row>
    <row r="17" spans="2:13" x14ac:dyDescent="0.25">
      <c r="B17" s="4" t="s">
        <v>31</v>
      </c>
      <c r="C17" s="13" t="s">
        <v>11</v>
      </c>
      <c r="D17" s="9">
        <v>8286</v>
      </c>
      <c r="E17" s="9">
        <v>48</v>
      </c>
      <c r="F17" s="9"/>
      <c r="G17" s="9"/>
      <c r="H17" s="9"/>
      <c r="I17" s="9">
        <f>SUM(Table35811[[#This Row],[Travel Related Expenses]:[Other Expenses-hotel ]])</f>
        <v>48</v>
      </c>
      <c r="J17" s="9">
        <f>+Table35811[[#This Row],[Remuneration]]+Table35811[[#This Row],[Total Expenses]]</f>
        <v>8334</v>
      </c>
      <c r="L17" s="20"/>
      <c r="M17" s="19"/>
    </row>
    <row r="18" spans="2:13" x14ac:dyDescent="0.25">
      <c r="B18" s="3" t="s">
        <v>2</v>
      </c>
      <c r="C18" s="3"/>
      <c r="D18" s="12">
        <f>+D15+D17</f>
        <v>12293</v>
      </c>
      <c r="E18" s="12">
        <f>+E15+E17</f>
        <v>734</v>
      </c>
      <c r="F18" s="12">
        <f>+F15+F17</f>
        <v>50</v>
      </c>
      <c r="G18" s="12">
        <f>+G15+G17</f>
        <v>0</v>
      </c>
      <c r="H18" s="12">
        <f>+H15+H17</f>
        <v>411</v>
      </c>
      <c r="I18" s="12">
        <f t="shared" ref="I18" si="4">SUM(E18:H18)</f>
        <v>1195</v>
      </c>
      <c r="J18" s="12">
        <f t="shared" ref="J18" si="5">+D18+I18</f>
        <v>13488</v>
      </c>
      <c r="L18" s="20"/>
      <c r="M18" s="19"/>
    </row>
    <row r="21" spans="2:13" x14ac:dyDescent="0.25">
      <c r="B21" t="s">
        <v>16</v>
      </c>
      <c r="D21" s="18">
        <f>+Table3589[[#Totals],[Remuneration]]</f>
        <v>13527.43</v>
      </c>
      <c r="E21" s="18">
        <f>+Table3589[[#Totals],[Travel Related Expenses]]</f>
        <v>185.09</v>
      </c>
      <c r="F21" s="18">
        <f>+Table3589[[#Totals],[Meals]]</f>
        <v>31</v>
      </c>
      <c r="G21" s="18">
        <f>+Table3589[[#Totals],[Professional Development and Training]]</f>
        <v>431.25</v>
      </c>
      <c r="H21" s="18">
        <f>+Table3589[[#Totals],[Other Expenses-Hotel]]</f>
        <v>178</v>
      </c>
      <c r="I21" s="18">
        <f>+Table3589[[#Totals],[Total Expenses]]</f>
        <v>825.34</v>
      </c>
      <c r="J21" s="18">
        <f>+I21+D21</f>
        <v>14352.77</v>
      </c>
    </row>
    <row r="22" spans="2:13" x14ac:dyDescent="0.25">
      <c r="D22" s="18"/>
      <c r="E22" s="18"/>
      <c r="F22" s="18"/>
      <c r="G22" s="18"/>
      <c r="H22" s="18"/>
      <c r="I22" s="18"/>
      <c r="J22" s="18"/>
    </row>
    <row r="23" spans="2:13" x14ac:dyDescent="0.25">
      <c r="B23" t="s">
        <v>17</v>
      </c>
      <c r="D23" s="21">
        <f>+Table35811[[#Totals],[Remuneration]]+D21</f>
        <v>25820.43</v>
      </c>
      <c r="E23" s="21">
        <f>+Table35811[[#Totals],[Travel Related Expenses]]+E21</f>
        <v>919.09</v>
      </c>
      <c r="F23" s="21">
        <f>+Table35811[[#Totals],[Meals]]+F21</f>
        <v>81</v>
      </c>
      <c r="G23" s="21">
        <f>+Table35811[[#Totals],[Professional Development and Training]]+G21</f>
        <v>431.25</v>
      </c>
      <c r="H23" s="21">
        <f>+Table35811[[#Totals],[Other Expenses-hotel ]]+H21</f>
        <v>589</v>
      </c>
      <c r="I23" s="21">
        <f>+Table35811[[#Totals],[Total Expenses]]+I21</f>
        <v>2020.3400000000001</v>
      </c>
      <c r="J23" s="21">
        <f>+Table35811[[#Totals],[Total Remuneration and Expenses]]+J21</f>
        <v>27840.77</v>
      </c>
    </row>
    <row r="26" spans="2:13" x14ac:dyDescent="0.25">
      <c r="D26" s="28" t="s">
        <v>38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8EABBD-87CB-45EC-95D4-10D4C9EB3ED7}">
  <sheetPr>
    <pageSetUpPr fitToPage="1"/>
  </sheetPr>
  <dimension ref="A1:M25"/>
  <sheetViews>
    <sheetView showGridLines="0" showRowColHeaders="0" workbookViewId="0">
      <selection activeCell="E28" sqref="E28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36</v>
      </c>
      <c r="C7" s="3"/>
      <c r="D7" s="3" t="s">
        <v>27</v>
      </c>
      <c r="E7" s="3"/>
      <c r="F7" s="3">
        <v>2022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30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77</v>
      </c>
      <c r="F9" s="5">
        <v>0</v>
      </c>
      <c r="G9" s="5">
        <v>0</v>
      </c>
      <c r="H9" s="5">
        <v>0</v>
      </c>
      <c r="I9" s="6">
        <f>SUM(E9:H9)</f>
        <v>77</v>
      </c>
      <c r="J9" s="6">
        <f>+D9+I9</f>
        <v>975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75</v>
      </c>
      <c r="F10" s="7">
        <v>0</v>
      </c>
      <c r="G10" s="7">
        <v>0</v>
      </c>
      <c r="H10" s="7">
        <v>0</v>
      </c>
      <c r="I10" s="8">
        <f t="shared" ref="I10" si="0">SUM(E10:H10)</f>
        <v>75</v>
      </c>
      <c r="J10" s="8">
        <f t="shared" ref="J10" si="1">+D10+I10</f>
        <v>904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>
        <v>0</v>
      </c>
      <c r="F11" s="7">
        <v>0</v>
      </c>
      <c r="G11" s="7">
        <v>0</v>
      </c>
      <c r="H11" s="7">
        <v>0</v>
      </c>
      <c r="I11" s="8">
        <f>SUM(E11:H11)</f>
        <v>0</v>
      </c>
      <c r="J11" s="8">
        <f>+D11+I11</f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>
        <v>35.229999999999997</v>
      </c>
      <c r="F12" s="7">
        <v>0</v>
      </c>
      <c r="G12" s="7">
        <v>0</v>
      </c>
      <c r="H12" s="7">
        <v>0</v>
      </c>
      <c r="I12" s="8">
        <f>SUM(E12:H12)</f>
        <v>35.229999999999997</v>
      </c>
      <c r="J12" s="8">
        <f>+D12+I12</f>
        <v>795.23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>
        <v>0</v>
      </c>
      <c r="F13" s="7">
        <v>0</v>
      </c>
      <c r="G13" s="7">
        <v>0</v>
      </c>
      <c r="H13" s="7">
        <v>0</v>
      </c>
      <c r="I13" s="8">
        <f>SUM(E13:H13)</f>
        <v>0</v>
      </c>
      <c r="J13" s="8">
        <f>+D13+I13</f>
        <v>760</v>
      </c>
      <c r="L13" s="20"/>
      <c r="M13" s="19"/>
    </row>
    <row r="14" spans="1:13" x14ac:dyDescent="0.25">
      <c r="B14" s="4"/>
      <c r="C14" s="13"/>
      <c r="D14" s="11"/>
      <c r="E14" s="11"/>
      <c r="F14" s="11"/>
      <c r="G14" s="11"/>
      <c r="H14" s="11"/>
      <c r="I14" s="11"/>
      <c r="J14" s="11"/>
      <c r="L14" s="20"/>
      <c r="M14" s="19"/>
    </row>
    <row r="15" spans="1:13" x14ac:dyDescent="0.25">
      <c r="B15" s="4" t="s">
        <v>1</v>
      </c>
      <c r="C15" s="13" t="s">
        <v>1</v>
      </c>
      <c r="D15" s="9" t="s">
        <v>1</v>
      </c>
      <c r="E15" s="9" t="s">
        <v>1</v>
      </c>
      <c r="F15" s="9" t="s">
        <v>1</v>
      </c>
      <c r="G15" s="9" t="s">
        <v>1</v>
      </c>
      <c r="H15" s="9" t="s">
        <v>1</v>
      </c>
      <c r="I15" s="10" t="s">
        <v>1</v>
      </c>
      <c r="J15" s="10" t="s">
        <v>1</v>
      </c>
      <c r="L15" s="20"/>
      <c r="M15" s="19"/>
    </row>
    <row r="16" spans="1:13" x14ac:dyDescent="0.25">
      <c r="B16" s="4"/>
      <c r="C16" s="13"/>
      <c r="D16" s="6">
        <f>SUM(D9:D15)</f>
        <v>4007</v>
      </c>
      <c r="E16" s="6">
        <f>SUM(E9:E15)</f>
        <v>187.23</v>
      </c>
      <c r="F16" s="6">
        <f>SUM(F9:F15)</f>
        <v>0</v>
      </c>
      <c r="G16" s="6">
        <f>SUM(G9:G15)</f>
        <v>0</v>
      </c>
      <c r="H16" s="6">
        <f>SUM(H9:H15)</f>
        <v>0</v>
      </c>
      <c r="I16" s="6">
        <f t="shared" ref="I16" si="2">SUM(E16:H16)</f>
        <v>187.23</v>
      </c>
      <c r="J16" s="6">
        <f t="shared" ref="J16" si="3">+D16+I16</f>
        <v>4194.2299999999996</v>
      </c>
      <c r="L16" s="20"/>
      <c r="M16" s="19"/>
    </row>
    <row r="17" spans="2:13" x14ac:dyDescent="0.25">
      <c r="B17" s="4" t="s">
        <v>9</v>
      </c>
      <c r="C17" s="13"/>
      <c r="D17" s="11"/>
      <c r="E17" s="11"/>
      <c r="F17" s="11"/>
      <c r="G17" s="11"/>
      <c r="H17" s="11"/>
      <c r="I17" s="11"/>
      <c r="J17" s="11"/>
      <c r="L17" s="20"/>
      <c r="M17" s="19"/>
    </row>
    <row r="18" spans="2:13" x14ac:dyDescent="0.25">
      <c r="B18" s="4" t="s">
        <v>31</v>
      </c>
      <c r="C18" s="13" t="s">
        <v>11</v>
      </c>
      <c r="D18" s="9">
        <v>9725</v>
      </c>
      <c r="E18" s="9">
        <v>0</v>
      </c>
      <c r="F18" s="9"/>
      <c r="G18" s="9"/>
      <c r="H18" s="9">
        <v>0</v>
      </c>
      <c r="I18" s="9">
        <f>SUM(Table358111415[[#This Row],[Travel Related Expenses]:[Other Expenses-Parking]])</f>
        <v>0</v>
      </c>
      <c r="J18" s="9">
        <f>+Table358111415[[#This Row],[Remuneration]]+Table358111415[[#This Row],[Total Expenses]]</f>
        <v>9725</v>
      </c>
      <c r="L18" s="20"/>
      <c r="M18" s="19"/>
    </row>
    <row r="19" spans="2:13" x14ac:dyDescent="0.25">
      <c r="B19" s="4" t="s">
        <v>39</v>
      </c>
      <c r="C19" s="13" t="s">
        <v>11</v>
      </c>
      <c r="D19" s="9">
        <v>5000</v>
      </c>
      <c r="E19" s="9">
        <v>74</v>
      </c>
      <c r="F19" s="9"/>
      <c r="G19" s="9"/>
      <c r="H19" s="9"/>
      <c r="I19" s="9"/>
      <c r="J19" s="9">
        <v>5074</v>
      </c>
      <c r="M19" s="30"/>
    </row>
    <row r="20" spans="2:13" x14ac:dyDescent="0.25">
      <c r="B20" s="3"/>
      <c r="C20" s="3">
        <f t="shared" ref="C20:J20" si="4">SUBTOTAL(109,C19)</f>
        <v>0</v>
      </c>
      <c r="D20" s="29" t="s">
        <v>45</v>
      </c>
      <c r="E20" s="12">
        <f t="shared" si="4"/>
        <v>74</v>
      </c>
      <c r="F20" s="12">
        <f t="shared" si="4"/>
        <v>0</v>
      </c>
      <c r="G20" s="12">
        <f t="shared" si="4"/>
        <v>0</v>
      </c>
      <c r="H20" s="12">
        <f t="shared" si="4"/>
        <v>0</v>
      </c>
      <c r="I20" s="12">
        <f t="shared" si="4"/>
        <v>0</v>
      </c>
      <c r="J20" s="12">
        <f>SUBTOTAL(109,J18:J19)</f>
        <v>14799</v>
      </c>
    </row>
    <row r="23" spans="2:13" x14ac:dyDescent="0.25">
      <c r="B23" t="s">
        <v>16</v>
      </c>
      <c r="D23" s="18">
        <f>+'Quarter 2'!D23</f>
        <v>25820.43</v>
      </c>
      <c r="E23" s="18">
        <f>+'Quarter 2'!E23</f>
        <v>919.09</v>
      </c>
      <c r="F23" s="18">
        <f>+'Quarter 2'!F23</f>
        <v>81</v>
      </c>
      <c r="G23" s="18">
        <f>+'Quarter 2'!G23</f>
        <v>431.25</v>
      </c>
      <c r="H23" s="18">
        <f>+'Quarter 2'!H23</f>
        <v>589</v>
      </c>
      <c r="I23" s="18">
        <f>+'Quarter 2'!I23</f>
        <v>2020.3400000000001</v>
      </c>
      <c r="J23" s="18">
        <f>+'Quarter 2'!J23</f>
        <v>27840.77</v>
      </c>
    </row>
    <row r="24" spans="2:13" x14ac:dyDescent="0.25">
      <c r="D24" s="18"/>
      <c r="E24" s="18"/>
      <c r="F24" s="18"/>
      <c r="G24" s="18"/>
      <c r="H24" s="18"/>
      <c r="I24" s="18"/>
      <c r="J24" s="18"/>
    </row>
    <row r="25" spans="2:13" x14ac:dyDescent="0.25">
      <c r="B25" t="s">
        <v>17</v>
      </c>
      <c r="D25" s="21">
        <f>+Table358111415[[#Totals],[Remuneration]]+D23</f>
        <v>40545.43</v>
      </c>
      <c r="E25" s="21">
        <f>+Table358111415[[#Totals],[Travel Related Expenses]]+E23</f>
        <v>993.09</v>
      </c>
      <c r="F25" s="21">
        <f>+Table358111415[[#Totals],[Meals]]+F23</f>
        <v>81</v>
      </c>
      <c r="G25" s="21">
        <f>+Table358111415[[#Totals],[Professional Development and Training]]+G23</f>
        <v>431.25</v>
      </c>
      <c r="H25" s="21">
        <f>+Table358111415[[#Totals],[Other Expenses-Parking]]+H23</f>
        <v>589</v>
      </c>
      <c r="I25" s="21">
        <f>+Table358111415[[#Totals],[Total Expenses]]+I23</f>
        <v>2020.3400000000001</v>
      </c>
      <c r="J25" s="21">
        <f>+Table358111415[[#Totals],[Total Remuneration and Expenses]]+J23</f>
        <v>42639.770000000004</v>
      </c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A12E9-948E-406B-9440-7935E8E4943B}">
  <sheetPr>
    <pageSetUpPr fitToPage="1"/>
  </sheetPr>
  <dimension ref="A1:M30"/>
  <sheetViews>
    <sheetView showGridLines="0" showRowColHeaders="0" tabSelected="1" topLeftCell="A6" workbookViewId="0">
      <selection activeCell="L32" sqref="L32"/>
    </sheetView>
  </sheetViews>
  <sheetFormatPr defaultRowHeight="15" x14ac:dyDescent="0.25"/>
  <cols>
    <col min="2" max="10" width="15.7109375" customWidth="1"/>
    <col min="12" max="13" width="15.7109375" customWidth="1"/>
  </cols>
  <sheetData>
    <row r="1" spans="1:13" x14ac:dyDescent="0.25">
      <c r="A1" t="s">
        <v>1</v>
      </c>
    </row>
    <row r="3" spans="1:13" x14ac:dyDescent="0.25">
      <c r="B3" s="2"/>
    </row>
    <row r="6" spans="1:13" ht="18" x14ac:dyDescent="0.35">
      <c r="B6" s="14" t="s">
        <v>19</v>
      </c>
      <c r="C6" s="3"/>
      <c r="D6" s="3"/>
      <c r="E6" s="3"/>
      <c r="F6" s="3"/>
      <c r="G6" s="3"/>
      <c r="H6" s="3"/>
      <c r="I6" s="3"/>
      <c r="J6" s="3"/>
    </row>
    <row r="7" spans="1:13" ht="16.5" x14ac:dyDescent="0.3">
      <c r="B7" s="15" t="s">
        <v>37</v>
      </c>
      <c r="C7" s="3"/>
      <c r="D7" s="3" t="s">
        <v>28</v>
      </c>
      <c r="E7" s="3"/>
      <c r="F7" s="3">
        <v>2023</v>
      </c>
      <c r="G7" s="3"/>
      <c r="H7" s="3"/>
      <c r="I7" s="3"/>
      <c r="J7" s="3"/>
    </row>
    <row r="8" spans="1:13" ht="49.5" x14ac:dyDescent="0.25">
      <c r="B8" s="16" t="s">
        <v>15</v>
      </c>
      <c r="C8" s="16" t="s">
        <v>0</v>
      </c>
      <c r="D8" s="17" t="s">
        <v>3</v>
      </c>
      <c r="E8" s="16" t="s">
        <v>4</v>
      </c>
      <c r="F8" s="17" t="s">
        <v>5</v>
      </c>
      <c r="G8" s="16" t="s">
        <v>6</v>
      </c>
      <c r="H8" s="16" t="s">
        <v>29</v>
      </c>
      <c r="I8" s="16" t="s">
        <v>8</v>
      </c>
      <c r="J8" s="16" t="s">
        <v>10</v>
      </c>
      <c r="L8" s="1"/>
      <c r="M8" s="1"/>
    </row>
    <row r="9" spans="1:13" x14ac:dyDescent="0.25">
      <c r="B9" s="4" t="s">
        <v>20</v>
      </c>
      <c r="C9" s="13" t="s">
        <v>12</v>
      </c>
      <c r="D9" s="5">
        <v>898</v>
      </c>
      <c r="E9" s="5">
        <v>38</v>
      </c>
      <c r="F9" s="5">
        <v>0</v>
      </c>
      <c r="G9" s="5">
        <v>0</v>
      </c>
      <c r="H9" s="5">
        <v>0</v>
      </c>
      <c r="I9" s="6">
        <f>SUM(E9:H9)</f>
        <v>38</v>
      </c>
      <c r="J9" s="6">
        <f>+D9+I9</f>
        <v>936</v>
      </c>
      <c r="L9" s="20"/>
      <c r="M9" s="19"/>
    </row>
    <row r="10" spans="1:13" x14ac:dyDescent="0.25">
      <c r="B10" s="4" t="s">
        <v>21</v>
      </c>
      <c r="C10" s="13" t="s">
        <v>24</v>
      </c>
      <c r="D10" s="7">
        <v>829</v>
      </c>
      <c r="E10" s="7">
        <v>0</v>
      </c>
      <c r="F10" s="7">
        <v>0</v>
      </c>
      <c r="G10" s="7">
        <v>0</v>
      </c>
      <c r="H10" s="7">
        <v>0</v>
      </c>
      <c r="I10" s="8">
        <f t="shared" ref="I10" si="0">SUM(E10:H10)</f>
        <v>0</v>
      </c>
      <c r="J10" s="8">
        <f t="shared" ref="J10" si="1">+D10+I10</f>
        <v>829</v>
      </c>
      <c r="L10" s="20"/>
      <c r="M10" s="19"/>
    </row>
    <row r="11" spans="1:13" x14ac:dyDescent="0.25">
      <c r="B11" s="4" t="s">
        <v>22</v>
      </c>
      <c r="C11" s="13" t="s">
        <v>13</v>
      </c>
      <c r="D11" s="7">
        <v>760</v>
      </c>
      <c r="E11" s="7">
        <v>0</v>
      </c>
      <c r="F11" s="7">
        <v>0</v>
      </c>
      <c r="G11" s="7">
        <v>0</v>
      </c>
      <c r="H11" s="7">
        <v>0</v>
      </c>
      <c r="I11" s="8">
        <f>SUM(E11:H11)</f>
        <v>0</v>
      </c>
      <c r="J11" s="8">
        <f>+D11+I11</f>
        <v>760</v>
      </c>
      <c r="L11" s="20"/>
      <c r="M11" s="19"/>
    </row>
    <row r="12" spans="1:13" x14ac:dyDescent="0.25">
      <c r="B12" s="4" t="s">
        <v>32</v>
      </c>
      <c r="C12" s="13" t="s">
        <v>13</v>
      </c>
      <c r="D12" s="7">
        <v>760</v>
      </c>
      <c r="E12" s="7">
        <v>0</v>
      </c>
      <c r="F12" s="7">
        <v>0</v>
      </c>
      <c r="G12" s="7">
        <v>0</v>
      </c>
      <c r="H12" s="7">
        <v>0</v>
      </c>
      <c r="I12" s="8">
        <f>SUM(E12:H12)</f>
        <v>0</v>
      </c>
      <c r="J12" s="8">
        <f>+D12+I12</f>
        <v>760</v>
      </c>
      <c r="L12" s="20"/>
      <c r="M12" s="19"/>
    </row>
    <row r="13" spans="1:13" x14ac:dyDescent="0.25">
      <c r="B13" s="4" t="s">
        <v>23</v>
      </c>
      <c r="C13" s="13" t="s">
        <v>13</v>
      </c>
      <c r="D13" s="7">
        <v>760</v>
      </c>
      <c r="E13" s="7">
        <v>0</v>
      </c>
      <c r="F13" s="7">
        <v>0</v>
      </c>
      <c r="G13" s="7">
        <v>0</v>
      </c>
      <c r="H13" s="7">
        <v>0</v>
      </c>
      <c r="I13" s="8">
        <f>SUM(E13:H13)</f>
        <v>0</v>
      </c>
      <c r="J13" s="8">
        <f>+D13+I13</f>
        <v>760</v>
      </c>
      <c r="L13" s="20"/>
      <c r="M13" s="19"/>
    </row>
    <row r="14" spans="1:13" x14ac:dyDescent="0.25">
      <c r="B14" s="4"/>
      <c r="C14" s="13"/>
      <c r="D14" s="11"/>
      <c r="E14" s="11"/>
      <c r="F14" s="11"/>
      <c r="G14" s="11"/>
      <c r="H14" s="11"/>
      <c r="I14" s="11"/>
      <c r="J14" s="11"/>
      <c r="L14" s="20"/>
      <c r="M14" s="19"/>
    </row>
    <row r="15" spans="1:13" x14ac:dyDescent="0.25">
      <c r="B15" s="4" t="s">
        <v>1</v>
      </c>
      <c r="C15" s="13" t="s">
        <v>1</v>
      </c>
      <c r="D15" s="9" t="s">
        <v>1</v>
      </c>
      <c r="E15" s="9" t="s">
        <v>1</v>
      </c>
      <c r="F15" s="9" t="s">
        <v>1</v>
      </c>
      <c r="G15" s="9" t="s">
        <v>1</v>
      </c>
      <c r="H15" s="9" t="s">
        <v>1</v>
      </c>
      <c r="I15" s="10" t="s">
        <v>1</v>
      </c>
      <c r="J15" s="10" t="s">
        <v>1</v>
      </c>
      <c r="L15" s="20"/>
      <c r="M15" s="19"/>
    </row>
    <row r="16" spans="1:13" x14ac:dyDescent="0.25">
      <c r="B16" s="4"/>
      <c r="C16" s="13"/>
      <c r="D16" s="6">
        <f>SUM(D9:D15)</f>
        <v>4007</v>
      </c>
      <c r="E16" s="6">
        <f>SUM(E9:E15)</f>
        <v>38</v>
      </c>
      <c r="F16" s="6">
        <f>SUM(F9:F15)</f>
        <v>0</v>
      </c>
      <c r="G16" s="6">
        <f>SUM(G9:G15)</f>
        <v>0</v>
      </c>
      <c r="H16" s="6">
        <f>SUM(H9:H15)</f>
        <v>0</v>
      </c>
      <c r="I16" s="6">
        <f t="shared" ref="I16" si="2">SUM(E16:H16)</f>
        <v>38</v>
      </c>
      <c r="J16" s="6">
        <f>SUBTOTAL(109,J9:J15)</f>
        <v>4045</v>
      </c>
      <c r="L16" s="20"/>
      <c r="M16" s="19"/>
    </row>
    <row r="17" spans="2:13" x14ac:dyDescent="0.25">
      <c r="B17" s="4" t="s">
        <v>9</v>
      </c>
      <c r="C17" s="13"/>
      <c r="D17" s="11"/>
      <c r="E17" s="11"/>
      <c r="F17" s="11"/>
      <c r="G17" s="11"/>
      <c r="H17" s="11"/>
      <c r="I17" s="11"/>
      <c r="J17" s="11"/>
      <c r="L17" s="20"/>
      <c r="M17" s="19"/>
    </row>
    <row r="18" spans="2:13" x14ac:dyDescent="0.25">
      <c r="B18" s="4"/>
      <c r="C18" s="13"/>
      <c r="D18" s="27"/>
      <c r="E18" s="27"/>
      <c r="F18" s="27"/>
      <c r="G18" s="27">
        <v>0</v>
      </c>
      <c r="H18" s="27">
        <v>0</v>
      </c>
      <c r="I18" s="27">
        <f>SUM(Table3581114[[#This Row],[Travel Related Expenses]:[Other Expenses- Hotels]])</f>
        <v>0</v>
      </c>
      <c r="J18" s="11"/>
      <c r="L18" s="20"/>
      <c r="M18" s="19"/>
    </row>
    <row r="19" spans="2:13" x14ac:dyDescent="0.25">
      <c r="B19" s="4" t="s">
        <v>39</v>
      </c>
      <c r="C19" s="13" t="s">
        <v>11</v>
      </c>
      <c r="D19" s="27">
        <v>6000</v>
      </c>
      <c r="E19" s="27">
        <v>0</v>
      </c>
      <c r="F19" s="27">
        <v>0</v>
      </c>
      <c r="G19" s="27">
        <v>0</v>
      </c>
      <c r="H19" s="27">
        <v>0</v>
      </c>
      <c r="I19" s="27">
        <v>0</v>
      </c>
      <c r="J19" s="11">
        <v>6000</v>
      </c>
    </row>
    <row r="20" spans="2:13" x14ac:dyDescent="0.25">
      <c r="B20" s="4" t="s">
        <v>31</v>
      </c>
      <c r="C20" s="13" t="s">
        <v>11</v>
      </c>
      <c r="D20" s="9">
        <v>1389</v>
      </c>
      <c r="E20" s="9"/>
      <c r="F20" s="9"/>
      <c r="G20" s="9"/>
      <c r="H20" s="9">
        <v>0</v>
      </c>
      <c r="I20" s="9">
        <f>SUM(Table3581114[[#This Row],[Travel Related Expenses]:[Other Expenses- Hotels]])</f>
        <v>0</v>
      </c>
      <c r="J20" s="9">
        <f>+Table3581114[[#This Row],[Total Expenses]]+Table3581114[[#This Row],[Remuneration]]</f>
        <v>1389</v>
      </c>
    </row>
    <row r="21" spans="2:13" x14ac:dyDescent="0.25">
      <c r="B21" s="3" t="s">
        <v>2</v>
      </c>
      <c r="C21" s="3"/>
      <c r="D21" s="29" t="s">
        <v>46</v>
      </c>
      <c r="E21" s="12">
        <f>+E16+E20</f>
        <v>38</v>
      </c>
      <c r="F21" s="12">
        <f>+F16+F20</f>
        <v>0</v>
      </c>
      <c r="G21" s="12">
        <f>+G16+G20</f>
        <v>0</v>
      </c>
      <c r="H21" s="12">
        <f>+H16+H20</f>
        <v>0</v>
      </c>
      <c r="I21" s="12">
        <f t="shared" ref="I21" si="3">SUM(E21:H21)</f>
        <v>38</v>
      </c>
      <c r="J21" s="12">
        <f>+J16+J20+J18</f>
        <v>5434</v>
      </c>
    </row>
    <row r="24" spans="2:13" x14ac:dyDescent="0.25">
      <c r="B24" t="s">
        <v>16</v>
      </c>
      <c r="D24" s="18">
        <f>+'Quarter 3'!D25</f>
        <v>40545.43</v>
      </c>
      <c r="E24" s="18">
        <f>+'Quarter 3'!E25</f>
        <v>993.09</v>
      </c>
      <c r="F24" s="18">
        <f>+'Quarter 3'!F25</f>
        <v>81</v>
      </c>
      <c r="G24" s="18">
        <f>+'Quarter 3'!G25</f>
        <v>431.25</v>
      </c>
      <c r="H24" s="18">
        <f>+'Quarter 3'!H25</f>
        <v>589</v>
      </c>
      <c r="I24" s="18">
        <f>+'Quarter 3'!I25</f>
        <v>2020.3400000000001</v>
      </c>
      <c r="J24" s="18">
        <f>+'Quarter 3'!J25</f>
        <v>42639.770000000004</v>
      </c>
    </row>
    <row r="25" spans="2:13" x14ac:dyDescent="0.25">
      <c r="D25" s="18"/>
      <c r="E25" s="18"/>
      <c r="F25" s="18"/>
      <c r="G25" s="18"/>
      <c r="H25" s="18"/>
      <c r="I25" s="18"/>
      <c r="J25" s="18"/>
    </row>
    <row r="26" spans="2:13" x14ac:dyDescent="0.25">
      <c r="B26" t="s">
        <v>17</v>
      </c>
      <c r="D26" s="21">
        <f>+Table3581114[[#Totals],[Remuneration]]+D24</f>
        <v>47934.43</v>
      </c>
      <c r="E26" s="21">
        <f>+Table3581114[[#Totals],[Travel Related Expenses]]+E24</f>
        <v>1031.0900000000001</v>
      </c>
      <c r="F26" s="21">
        <f>+Table3581114[[#Totals],[Meals]]+F24</f>
        <v>81</v>
      </c>
      <c r="G26" s="21">
        <f>+Table3581114[[#Totals],[Professional Development and Training]]+G24</f>
        <v>431.25</v>
      </c>
      <c r="H26" s="21">
        <f>+Table3581114[[#Totals],[Other Expenses- Hotels]]+H24</f>
        <v>589</v>
      </c>
      <c r="I26" s="21">
        <f>+Table3581114[[#Totals],[Total Expenses]]+I24</f>
        <v>2058.34</v>
      </c>
      <c r="J26" s="21">
        <f>+Table3581114[[#Totals],[Total Remuneration and Expenses]]+J24</f>
        <v>48073.770000000004</v>
      </c>
    </row>
    <row r="28" spans="2:13" x14ac:dyDescent="0.25">
      <c r="D28" s="25">
        <f>+Table358910[[#Totals],[Remuneration]]</f>
        <v>44948.429999999993</v>
      </c>
      <c r="E28" s="25">
        <f>+Table358910[[#Totals],[Travel Related Expenses]]</f>
        <v>1144.32</v>
      </c>
      <c r="F28" s="25">
        <f>+Table358910[[#Totals],[Meals]]</f>
        <v>81</v>
      </c>
      <c r="G28" s="25">
        <f>+Table358910[[#Totals],[Professional Development and Training]]</f>
        <v>431.25</v>
      </c>
      <c r="H28" s="25">
        <f>+Table358910[[#Totals],[Other Expenses]]</f>
        <v>589</v>
      </c>
      <c r="I28" s="25">
        <f>+Table358910[[#Totals],[Total Expenses]]</f>
        <v>2245.5699999999997</v>
      </c>
      <c r="J28" s="25">
        <f>+Table358910[[#Totals],[Total Remuneration and Expenses]]</f>
        <v>47194</v>
      </c>
    </row>
    <row r="30" spans="2:13" x14ac:dyDescent="0.25">
      <c r="J30" s="26"/>
    </row>
  </sheetData>
  <pageMargins left="0.7" right="0.7" top="0.75" bottom="0.75" header="0.3" footer="0.3"/>
  <pageSetup scale="63" orientation="landscape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60D7A-6097-4D4C-99B4-51CA30FB3050}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 Schedule</vt:lpstr>
      <vt:lpstr>Quarter 1</vt:lpstr>
      <vt:lpstr>Quarter 2</vt:lpstr>
      <vt:lpstr>Quarter 3</vt:lpstr>
      <vt:lpstr>Quarter 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Cox-Brown, Kathy M</dc:creator>
  <cp:lastModifiedBy>Kerry Graham</cp:lastModifiedBy>
  <cp:lastPrinted>2022-06-28T15:40:54Z</cp:lastPrinted>
  <dcterms:created xsi:type="dcterms:W3CDTF">2018-01-11T20:40:04Z</dcterms:created>
  <dcterms:modified xsi:type="dcterms:W3CDTF">2023-05-10T16:33:09Z</dcterms:modified>
</cp:coreProperties>
</file>